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ta" sheetId="1" state="visible" r:id="rId3"/>
    <sheet name="Anexo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<sst xmlns="http://schemas.openxmlformats.org/spreadsheetml/2006/main" count="96" uniqueCount="92">
  <si>
    <t xml:space="preserve">A CONTA DA JANELA — IBS/CBS FORA DO DAS (opção de 1º a 30/09/2026)</t>
  </si>
  <si>
    <t xml:space="preserve">Resolução CGSN nº 186/2026 · efeito de janeiro a junho de 2027 · preencha somente as células de fundo azul-claro.</t>
  </si>
  <si>
    <t xml:space="preserve">ENTRADAS</t>
  </si>
  <si>
    <t xml:space="preserve">Razão social</t>
  </si>
  <si>
    <t xml:space="preserve">Vetor Suprimentos e Software Ltda</t>
  </si>
  <si>
    <t xml:space="preserve">CNPJ</t>
  </si>
  <si>
    <t xml:space="preserve">12.345.678/0001-90</t>
  </si>
  <si>
    <t xml:space="preserve">RBT12 (R$)</t>
  </si>
  <si>
    <t xml:space="preserve">% da receita vendida para outras empresas (b2b)</t>
  </si>
  <si>
    <t xml:space="preserve">% desses clientes que aproveitam crédito integral (qual)</t>
  </si>
  <si>
    <t xml:space="preserve">% da receita em compras que geram crédito (cred)</t>
  </si>
  <si>
    <t xml:space="preserve">Alíquota IBS+CBS do cenário (padrão 0,088)</t>
  </si>
  <si>
    <t xml:space="preserve">Alíquota do cenário alternativo (padrão 0,094)</t>
  </si>
  <si>
    <t xml:space="preserve">Poder de renegociar preço (0 a 3)</t>
  </si>
  <si>
    <t xml:space="preserve">Valores de partida são exemplo de preenchimento. 0 = nenhum poder de renegociar preço · 3 = poder alto.</t>
  </si>
  <si>
    <t xml:space="preserve">ONDE A RECEITA CAI — a segregação por anexo</t>
  </si>
  <si>
    <t xml:space="preserve">A maioria das empresas tem um anexo só: escreva 100% na linha dele e siga. Quem segrega receita — a indústria que também revende, a prestadora que vende produto, o serviço que fica no III e no V — distribui os percentuais. Cada anexo tem partilha de PIS/Cofins própria, e é ela que vira o dDAS: tratar uma empresa mista por um anexo só chega a errar o dDAS em 45%.</t>
  </si>
  <si>
    <t xml:space="preserve">Anexo</t>
  </si>
  <si>
    <t xml:space="preserve">% da receita</t>
  </si>
  <si>
    <t xml:space="preserve">Alíquota efetiva</t>
  </si>
  <si>
    <t xml:space="preserve">PIS/Cofins do anexo</t>
  </si>
  <si>
    <t xml:space="preserve">Anexo 1 · comércio</t>
  </si>
  <si>
    <t xml:space="preserve">Anexo 2 · indústria</t>
  </si>
  <si>
    <t xml:space="preserve">Anexo 3 · serviço (fator R ≥ 28%)</t>
  </si>
  <si>
    <t xml:space="preserve">Anexo 4 · serviço (construção, limpeza, advocacia)</t>
  </si>
  <si>
    <t xml:space="preserve">Anexo 5 · serviço (fator R &lt; 28%)</t>
  </si>
  <si>
    <t xml:space="preserve">SOMA — precisa fechar 100%</t>
  </si>
  <si>
    <t xml:space="preserve">CÁLCULO</t>
  </si>
  <si>
    <t xml:space="preserve">PASSO</t>
  </si>
  <si>
    <t xml:space="preserve">FÓRMULA</t>
  </si>
  <si>
    <t xml:space="preserve">CENÁRIO A — 8,8%</t>
  </si>
  <si>
    <t xml:space="preserve">CENÁRIO B — 9,4%</t>
  </si>
  <si>
    <t xml:space="preserve">1 · Faixa do Simples pela RBT12</t>
  </si>
  <si>
    <t xml:space="preserve">CORRESP(RBT12; pisos das faixas; 1) — a faixa é a mesma em todos os anexos</t>
  </si>
  <si>
    <t xml:space="preserve">2 · Alíquota efetiva do Simples (ponderada)</t>
  </si>
  <si>
    <t xml:space="preserve">Σ (participação do anexo × alíquota efetiva do anexo)</t>
  </si>
  <si>
    <t xml:space="preserve">3 · dDAS — parcela de PIS/Cofins já dentro do DAS</t>
  </si>
  <si>
    <t xml:space="preserve">dDAS = Σ (participação do anexo × PIS/Cofins do anexo)</t>
  </si>
  <si>
    <t xml:space="preserve">4 · rq — receita qualificada</t>
  </si>
  <si>
    <t xml:space="preserve">rq = b2b × qual</t>
  </si>
  <si>
    <t xml:space="preserve">5 · ch — custo cheio do IBS/CBS líquido de crédito</t>
  </si>
  <si>
    <t xml:space="preserve">ch = alíquota do cenário × (1 − cred)</t>
  </si>
  <si>
    <t xml:space="preserve">6 · cl — custo líquido acrescido</t>
  </si>
  <si>
    <t xml:space="preserve">cl = ch − dDAS</t>
  </si>
  <si>
    <t xml:space="preserve">7 · re — repasse exigido sobre a receita qualificada</t>
  </si>
  <si>
    <t xml:space="preserve">re = cl ÷ rq</t>
  </si>
  <si>
    <t xml:space="preserve">8 · fc — folga de crédito disponível ao comprador</t>
  </si>
  <si>
    <t xml:space="preserve">fc = alíquota do cenário − dDAS</t>
  </si>
  <si>
    <t xml:space="preserve">9 · folga — margem entre o crédito e o repasse</t>
  </si>
  <si>
    <t xml:space="preserve">folga = fc − re</t>
  </si>
  <si>
    <t xml:space="preserve">Passos 1 a 4 não dependem da alíquota do cenário; a coluna do cenário B repete o resultado do cenário A.</t>
  </si>
  <si>
    <t xml:space="preserve">RESULTADO</t>
  </si>
  <si>
    <t xml:space="preserve">SAÍDA DA ÁRVORE DE DECISÃO</t>
  </si>
  <si>
    <t xml:space="preserve">rq → cl → fc → re vs fc → poder de renegociação</t>
  </si>
  <si>
    <t xml:space="preserve">DECISÃO SUGERIDA</t>
  </si>
  <si>
    <t xml:space="preserve">Ganho estimado no ano (R$)</t>
  </si>
  <si>
    <t xml:space="preserve">folga × rq × RBT12</t>
  </si>
  <si>
    <t xml:space="preserve">Custo absorvido se o repasse não for aceito (R$)</t>
  </si>
  <si>
    <t xml:space="preserve">cl × RBT12</t>
  </si>
  <si>
    <t xml:space="preserve">Valores estimados a partir das premissas preenchidas. Não representam resultado assegurado.</t>
  </si>
  <si>
    <t xml:space="preserve">O QUE A SEGREGAÇÃO MUDA — compare você mesmo</t>
  </si>
  <si>
    <t xml:space="preserve">Escreva abaixo o anexo que está no cadastro da empresa (o do CNAE). A planilha calcula o dDAS como se ela tivesse só aquele anexo — que é como a conta era feita antes — e mostra a diferença para o número ponderado do quadro acima.</t>
  </si>
  <si>
    <t xml:space="preserve">Anexo que está no cadastro (1 a 5)</t>
  </si>
  <si>
    <t xml:space="preserve">dDAS por esse anexo sozinho</t>
  </si>
  <si>
    <t xml:space="preserve">dDAS ponderado pela segregação (o certo)</t>
  </si>
  <si>
    <t xml:space="preserve">Diferença</t>
  </si>
  <si>
    <t xml:space="preserve">Decisão que sairia pelo anexo do cadastro</t>
  </si>
  <si>
    <t xml:space="preserve">Decisão com a receita segregada (o certo)</t>
  </si>
  <si>
    <t xml:space="preserve">As duas batem?</t>
  </si>
  <si>
    <t xml:space="preserve">LEGENDA DAS SAÍDAS</t>
  </si>
  <si>
    <t xml:space="preserve">S1 · Não optar</t>
  </si>
  <si>
    <t xml:space="preserve">A conta não fecha: pouca receita qualificada, sem folga de crédito ou repasse exigido acima do que o comprador aproveita.</t>
  </si>
  <si>
    <t xml:space="preserve">S2 · Preparar a próxima janela</t>
  </si>
  <si>
    <t xml:space="preserve">A conta fecharia, mas não há poder de renegociar preço agora. Trabalhar contratos e retomar na janela seguinte.</t>
  </si>
  <si>
    <t xml:space="preserve">S3 · Zona de fronteira — decisão do empresário</t>
  </si>
  <si>
    <t xml:space="preserve">Repasse exigido próximo do limite do crédito. A margem é estreita; a escolha é do cliente, com a conta na mesa.</t>
  </si>
  <si>
    <t xml:space="preserve">S4 · Optar, condicionado a repasse</t>
  </si>
  <si>
    <t xml:space="preserve">Há folga entre o crédito do comprador e o repasse exigido. A opção depende de acordo comercial documentado.</t>
  </si>
  <si>
    <t xml:space="preserve">S5 · Optar por vantagem direta</t>
  </si>
  <si>
    <t xml:space="preserve">O custo líquido acrescido é nulo ou negativo: não depende de repasse ao cliente.</t>
  </si>
  <si>
    <t xml:space="preserve">A alíquota de referência de IBS/CBS só é fixada por Resolução do Senado até 31/10/2026 — depois do fechamento da janela. Estimativa de cenário; a responsabilidade técnica é do contador que assina.</t>
  </si>
  <si>
    <t xml:space="preserve">TABELAS DOS ANEXOS I A V DO SIMPLES NACIONAL</t>
  </si>
  <si>
    <t xml:space="preserve">Valores informados pelo autor do material (LC 123/2006, anexos I a V). A coluna Partilha PIS/Cofins é a parcela do DAS que já corresponde a PIS e Cofins e que deixa de ser recolhida no DAS caso a empresa opte pelo regime híbrido.</t>
  </si>
  <si>
    <t xml:space="preserve">Chave</t>
  </si>
  <si>
    <t xml:space="preserve">Faixa</t>
  </si>
  <si>
    <t xml:space="preserve">Receita de (R$)</t>
  </si>
  <si>
    <t xml:space="preserve">Receita até (R$)</t>
  </si>
  <si>
    <t xml:space="preserve">Alíquota nominal</t>
  </si>
  <si>
    <t xml:space="preserve">Parcela a deduzir (R$)</t>
  </si>
  <si>
    <t xml:space="preserve">Partilha PIS/Cofins</t>
  </si>
  <si>
    <t xml:space="preserve">Piso da faixa</t>
  </si>
  <si>
    <t xml:space="preserve">Lista usada pela CORRESP que identifica a faixa a partir do RBT12.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</si>
</sst>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@"/>
    <numFmt numFmtId="166" formatCode="#,##0"/>
    <numFmt numFmtId="167" formatCode="0%"/>
    <numFmt numFmtId="168" formatCode="0.0%"/>
    <numFmt numFmtId="169" formatCode="0"/>
    <numFmt numFmtId="170" formatCode="0.00%;\-0.00%;;"/>
    <numFmt numFmtId="171" formatCode="0.000%;\-0.000%;;"/>
    <numFmt numFmtId="172" formatCode="0.00%"/>
    <numFmt numFmtId="173" formatCode="0.000%"/>
    <numFmt numFmtId="174" formatCode="\+0.0%;\-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Calibri"/>
      <family val="0"/>
      <charset val="1"/>
    </font>
    <font>
      <i val="true"/>
      <sz val="9"/>
      <color rgb="FF64748B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sz val="11"/>
      <color rgb="FF0B1220"/>
      <name val="Calibri"/>
      <family val="0"/>
      <charset val="1"/>
    </font>
    <font>
      <b val="true"/>
      <sz val="11"/>
      <color rgb="FF0000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1"/>
      <color rgb="FF0B1220"/>
      <name val="Calibri"/>
      <family val="0"/>
      <charset val="1"/>
    </font>
    <font>
      <b val="true"/>
      <sz val="14"/>
      <color rgb="FF0B1220"/>
      <name val="Calibri"/>
      <family val="0"/>
      <charset val="1"/>
    </font>
    <font>
      <sz val="10"/>
      <color rgb="FF475569"/>
      <name val="Calibri"/>
      <family val="0"/>
      <charset val="1"/>
    </font>
    <font>
      <sz val="10"/>
      <color rgb="FF0B1220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1220"/>
        <bgColor rgb="FF000000"/>
      </patternFill>
    </fill>
    <fill>
      <patternFill patternType="solid">
        <fgColor rgb="FF06B6D4"/>
        <bgColor rgb="FF33CCCC"/>
      </patternFill>
    </fill>
    <fill>
      <patternFill patternType="solid">
        <fgColor rgb="FFD7F4FA"/>
        <bgColor rgb="FFF1F5F9"/>
      </patternFill>
    </fill>
    <fill>
      <patternFill patternType="solid">
        <fgColor rgb="FFF1F5F9"/>
        <bgColor rgb="FFFFFFFF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64748B"/>
      </left>
      <right style="thin">
        <color rgb="FF64748B"/>
      </right>
      <top style="thin">
        <color rgb="FF64748B"/>
      </top>
      <bottom style="thin">
        <color rgb="FF64748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9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1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13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D7F4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6B6D4"/>
      <rgbColor rgb="FFF1F5F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B1220"/>
      <rgbColor rgb="FF333300"/>
      <rgbColor rgb="FF993300"/>
      <rgbColor rgb="FF993366"/>
      <rgbColor rgb="FF47556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30"/>
    <col collapsed="false" customWidth="true" hidden="false" outlineLevel="0" max="4" min="3" style="0" width="24"/>
  </cols>
  <sheetData>
    <row r="1" customFormat="false" ht="18.55" hidden="false" customHeight="false" outlineLevel="0" collapsed="false">
      <c r="A1" s="1" t="s">
        <v>0</v>
      </c>
      <c r="B1" s="2"/>
      <c r="C1" s="2"/>
      <c r="D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  <c r="B4" s="4"/>
      <c r="C4" s="4"/>
      <c r="D4" s="4"/>
    </row>
    <row r="5" customFormat="false" ht="15" hidden="false" customHeight="false" outlineLevel="0" collapsed="false">
      <c r="A5" s="5" t="s">
        <v>3</v>
      </c>
      <c r="B5" s="6" t="s">
        <v>4</v>
      </c>
    </row>
    <row r="6" customFormat="false" ht="15" hidden="false" customHeight="false" outlineLevel="0" collapsed="false">
      <c r="A6" s="5" t="s">
        <v>5</v>
      </c>
      <c r="B6" s="6" t="s">
        <v>6</v>
      </c>
    </row>
    <row r="7" customFormat="false" ht="15" hidden="false" customHeight="false" outlineLevel="0" collapsed="false">
      <c r="A7" s="5" t="s">
        <v>7</v>
      </c>
      <c r="B7" s="7" t="n">
        <v>1200000</v>
      </c>
    </row>
    <row r="8" customFormat="false" ht="15" hidden="false" customHeight="false" outlineLevel="0" collapsed="false">
      <c r="A8" s="5" t="s">
        <v>8</v>
      </c>
      <c r="B8" s="8" t="n">
        <v>0.8</v>
      </c>
    </row>
    <row r="9" customFormat="false" ht="15" hidden="false" customHeight="false" outlineLevel="0" collapsed="false">
      <c r="A9" s="5" t="s">
        <v>9</v>
      </c>
      <c r="B9" s="8" t="n">
        <v>0.9</v>
      </c>
    </row>
    <row r="10" customFormat="false" ht="15" hidden="false" customHeight="false" outlineLevel="0" collapsed="false">
      <c r="A10" s="5" t="s">
        <v>10</v>
      </c>
      <c r="B10" s="8" t="n">
        <v>0.35</v>
      </c>
    </row>
    <row r="11" customFormat="false" ht="15" hidden="false" customHeight="false" outlineLevel="0" collapsed="false">
      <c r="A11" s="5" t="s">
        <v>11</v>
      </c>
      <c r="B11" s="9" t="n">
        <v>0.088</v>
      </c>
    </row>
    <row r="12" customFormat="false" ht="15" hidden="false" customHeight="false" outlineLevel="0" collapsed="false">
      <c r="A12" s="5" t="s">
        <v>12</v>
      </c>
      <c r="B12" s="9" t="n">
        <v>0.094</v>
      </c>
    </row>
    <row r="13" customFormat="false" ht="15" hidden="false" customHeight="false" outlineLevel="0" collapsed="false">
      <c r="A13" s="5" t="s">
        <v>13</v>
      </c>
      <c r="B13" s="10" t="n">
        <v>2</v>
      </c>
    </row>
    <row r="14" customFormat="false" ht="15" hidden="false" customHeight="false" outlineLevel="0" collapsed="false">
      <c r="A14" s="3" t="s">
        <v>14</v>
      </c>
    </row>
    <row r="16" customFormat="false" ht="15" hidden="false" customHeight="false" outlineLevel="0" collapsed="false">
      <c r="A16" s="4" t="s">
        <v>15</v>
      </c>
      <c r="B16" s="4"/>
      <c r="C16" s="4"/>
      <c r="D16" s="4"/>
    </row>
    <row r="17" customFormat="false" ht="45.75" hidden="false" customHeight="true" outlineLevel="0" collapsed="false">
      <c r="A17" s="11" t="s">
        <v>16</v>
      </c>
      <c r="B17" s="11"/>
      <c r="C17" s="11"/>
      <c r="D17" s="11"/>
    </row>
    <row r="19" customFormat="false" ht="15" hidden="false" customHeight="false" outlineLevel="0" collapsed="false">
      <c r="A19" s="12" t="s">
        <v>17</v>
      </c>
      <c r="B19" s="13" t="s">
        <v>18</v>
      </c>
      <c r="C19" s="13" t="s">
        <v>19</v>
      </c>
      <c r="D19" s="13" t="s">
        <v>20</v>
      </c>
    </row>
    <row r="20" customFormat="false" ht="15" hidden="false" customHeight="false" outlineLevel="0" collapsed="false">
      <c r="A20" s="5" t="s">
        <v>21</v>
      </c>
      <c r="B20" s="8" t="n">
        <v>0.5</v>
      </c>
      <c r="C20" s="14" t="n">
        <f aca="false">IF(OR($B20="",$B20=0,$C$29=""),0,IFERROR(MAX(($B$7*VLOOKUP(1*10+$C$29,Anexos!$A$4:$H$33,6,FALSE())-VLOOKUP(1*10+$C$29,Anexos!$A$4:$H$33,7,FALSE()))/$B$7,0),0))</f>
        <v>0.08825</v>
      </c>
      <c r="D20" s="15" t="n">
        <f aca="false">IF($C20=0,0,IFERROR($C20*VLOOKUP(1*10+$C$29,Anexos!$A$4:$H$33,8,FALSE()),0))</f>
        <v>0.01367875</v>
      </c>
    </row>
    <row r="21" customFormat="false" ht="15" hidden="false" customHeight="false" outlineLevel="0" collapsed="false">
      <c r="A21" s="5" t="s">
        <v>22</v>
      </c>
      <c r="B21" s="8"/>
      <c r="C21" s="14" t="n">
        <f aca="false">IF(OR($B21="",$B21=0,$C$29=""),0,IFERROR(MAX(($B$7*VLOOKUP(2*10+$C$29,Anexos!$A$4:$H$33,6,FALSE())-VLOOKUP(2*10+$C$29,Anexos!$A$4:$H$33,7,FALSE()))/$B$7,0),0))</f>
        <v>0</v>
      </c>
      <c r="D21" s="15" t="n">
        <f aca="false">IF($C21=0,0,IFERROR($C21*VLOOKUP(2*10+$C$29,Anexos!$A$4:$H$33,8,FALSE()),0))</f>
        <v>0</v>
      </c>
    </row>
    <row r="22" customFormat="false" ht="15" hidden="false" customHeight="false" outlineLevel="0" collapsed="false">
      <c r="A22" s="5" t="s">
        <v>23</v>
      </c>
      <c r="B22" s="8"/>
      <c r="C22" s="14" t="n">
        <f aca="false">IF(OR($B22="",$B22=0,$C$29=""),0,IFERROR(MAX(($B$7*VLOOKUP(3*10+$C$29,Anexos!$A$4:$H$33,6,FALSE())-VLOOKUP(3*10+$C$29,Anexos!$A$4:$H$33,7,FALSE()))/$B$7,0),0))</f>
        <v>0</v>
      </c>
      <c r="D22" s="15" t="n">
        <f aca="false">IF($C22=0,0,IFERROR($C22*VLOOKUP(3*10+$C$29,Anexos!$A$4:$H$33,8,FALSE()),0))</f>
        <v>0</v>
      </c>
    </row>
    <row r="23" customFormat="false" ht="15" hidden="false" customHeight="false" outlineLevel="0" collapsed="false">
      <c r="A23" s="5" t="s">
        <v>24</v>
      </c>
      <c r="B23" s="8"/>
      <c r="C23" s="14" t="n">
        <f aca="false">IF(OR($B23="",$B23=0,$C$29=""),0,IFERROR(MAX(($B$7*VLOOKUP(4*10+$C$29,Anexos!$A$4:$H$33,6,FALSE())-VLOOKUP(4*10+$C$29,Anexos!$A$4:$H$33,7,FALSE()))/$B$7,0),0))</f>
        <v>0</v>
      </c>
      <c r="D23" s="15" t="n">
        <f aca="false">IF($C23=0,0,IFERROR($C23*VLOOKUP(4*10+$C$29,Anexos!$A$4:$H$33,8,FALSE()),0))</f>
        <v>0</v>
      </c>
    </row>
    <row r="24" customFormat="false" ht="15" hidden="false" customHeight="false" outlineLevel="0" collapsed="false">
      <c r="A24" s="5" t="s">
        <v>25</v>
      </c>
      <c r="B24" s="8" t="n">
        <v>0.5</v>
      </c>
      <c r="C24" s="14" t="n">
        <f aca="false">IF(OR($B24="",$B24=0,$C$29=""),0,IFERROR(MAX(($B$7*VLOOKUP(5*10+$C$29,Anexos!$A$4:$H$33,6,FALSE())-VLOOKUP(5*10+$C$29,Anexos!$A$4:$H$33,7,FALSE()))/$B$7,0),0))</f>
        <v>0.19075</v>
      </c>
      <c r="D24" s="15" t="n">
        <f aca="false">IF($C24=0,0,IFERROR($C24*VLOOKUP(5*10+$C$29,Anexos!$A$4:$H$33,8,FALSE()),0))</f>
        <v>0.036528625</v>
      </c>
    </row>
    <row r="25" customFormat="false" ht="17.35" hidden="false" customHeight="false" outlineLevel="0" collapsed="false">
      <c r="A25" s="16" t="s">
        <v>26</v>
      </c>
      <c r="B25" s="17" t="n">
        <f aca="false">SUM(B20:B24)</f>
        <v>1</v>
      </c>
      <c r="C25" s="18" t="str">
        <f aca="false">IF(ABS(B25-1)&lt;0.005,"ok","corrija: não fecha 100%")</f>
        <v>ok</v>
      </c>
      <c r="D25" s="18"/>
    </row>
    <row r="27" customFormat="false" ht="15" hidden="false" customHeight="false" outlineLevel="0" collapsed="false">
      <c r="A27" s="4" t="s">
        <v>27</v>
      </c>
      <c r="B27" s="4"/>
      <c r="C27" s="4"/>
      <c r="D27" s="4"/>
    </row>
    <row r="28" customFormat="false" ht="15" hidden="false" customHeight="false" outlineLevel="0" collapsed="false">
      <c r="A28" s="19" t="s">
        <v>28</v>
      </c>
      <c r="B28" s="19" t="s">
        <v>29</v>
      </c>
      <c r="C28" s="19" t="s">
        <v>30</v>
      </c>
      <c r="D28" s="19" t="s">
        <v>31</v>
      </c>
    </row>
    <row r="29" customFormat="false" ht="23.85" hidden="false" customHeight="false" outlineLevel="0" collapsed="false">
      <c r="A29" s="5" t="s">
        <v>32</v>
      </c>
      <c r="B29" s="20" t="s">
        <v>33</v>
      </c>
      <c r="C29" s="21" t="n">
        <f aca="false">IF($B$7="","",IFERROR(MATCH($B$7,Anexos!$J$4:$J$9,1),""))</f>
        <v>4</v>
      </c>
      <c r="D29" s="21" t="n">
        <f aca="false">C29</f>
        <v>4</v>
      </c>
    </row>
    <row r="30" customFormat="false" ht="23.85" hidden="false" customHeight="false" outlineLevel="0" collapsed="false">
      <c r="A30" s="5" t="s">
        <v>34</v>
      </c>
      <c r="B30" s="20" t="s">
        <v>35</v>
      </c>
      <c r="C30" s="22" t="n">
        <f aca="false">IF($C$29="","",SUMPRODUCT(B20:B24,C20:C24))</f>
        <v>0.1395</v>
      </c>
      <c r="D30" s="22" t="n">
        <f aca="false">C30</f>
        <v>0.1395</v>
      </c>
    </row>
    <row r="31" customFormat="false" ht="23.85" hidden="false" customHeight="false" outlineLevel="0" collapsed="false">
      <c r="A31" s="5" t="s">
        <v>36</v>
      </c>
      <c r="B31" s="20" t="s">
        <v>37</v>
      </c>
      <c r="C31" s="23" t="n">
        <f aca="false">IF($C$29="","",SUMPRODUCT(B20:B24,D20:D24))</f>
        <v>0.0251036875</v>
      </c>
      <c r="D31" s="23" t="n">
        <f aca="false">C31</f>
        <v>0.0251036875</v>
      </c>
    </row>
    <row r="32" customFormat="false" ht="15" hidden="false" customHeight="false" outlineLevel="0" collapsed="false">
      <c r="A32" s="5" t="s">
        <v>38</v>
      </c>
      <c r="B32" s="20" t="s">
        <v>39</v>
      </c>
      <c r="C32" s="22" t="n">
        <f aca="false">IF(OR($B$8="",$B$9=""),"",$B$8*$B$9)</f>
        <v>0.72</v>
      </c>
      <c r="D32" s="22" t="n">
        <f aca="false">C32</f>
        <v>0.72</v>
      </c>
    </row>
    <row r="33" customFormat="false" ht="15" hidden="false" customHeight="false" outlineLevel="0" collapsed="false">
      <c r="A33" s="5" t="s">
        <v>40</v>
      </c>
      <c r="B33" s="20" t="s">
        <v>41</v>
      </c>
      <c r="C33" s="22" t="n">
        <f aca="false">IF(OR($B$11="",$B$10=""),"",$B$11*(1-$B$10))</f>
        <v>0.0572</v>
      </c>
      <c r="D33" s="22" t="n">
        <f aca="false">IF(OR($B$12="",$B$10=""),"",$B$12*(1-$B$10))</f>
        <v>0.0611</v>
      </c>
    </row>
    <row r="34" customFormat="false" ht="15" hidden="false" customHeight="false" outlineLevel="0" collapsed="false">
      <c r="A34" s="5" t="s">
        <v>42</v>
      </c>
      <c r="B34" s="20" t="s">
        <v>43</v>
      </c>
      <c r="C34" s="22" t="n">
        <f aca="false">IF(OR(C33="",$C$31=""),"",C33-$C$31)</f>
        <v>0.0320963125</v>
      </c>
      <c r="D34" s="22" t="n">
        <f aca="false">IF(OR(D33="",$C$31=""),"",D33-$C$31)</f>
        <v>0.0359963125</v>
      </c>
    </row>
    <row r="35" customFormat="false" ht="15" hidden="false" customHeight="false" outlineLevel="0" collapsed="false">
      <c r="A35" s="5" t="s">
        <v>44</v>
      </c>
      <c r="B35" s="20" t="s">
        <v>45</v>
      </c>
      <c r="C35" s="22" t="n">
        <f aca="false">IF(OR(C34="",$C$32="",$C$32=0),"",C34/$C$32)</f>
        <v>0.0445782118055556</v>
      </c>
      <c r="D35" s="22" t="n">
        <f aca="false">IF(OR(D34="",$C$32="",$C$32=0),"",D34/$C$32)</f>
        <v>0.0499948784722222</v>
      </c>
    </row>
    <row r="36" customFormat="false" ht="15" hidden="false" customHeight="false" outlineLevel="0" collapsed="false">
      <c r="A36" s="5" t="s">
        <v>46</v>
      </c>
      <c r="B36" s="20" t="s">
        <v>47</v>
      </c>
      <c r="C36" s="22" t="n">
        <f aca="false">IF(OR($B$11="",$C$31=""),"",$B$11-$C$31)</f>
        <v>0.0628963125</v>
      </c>
      <c r="D36" s="22" t="n">
        <f aca="false">IF(OR($B$12="",$C$31=""),"",$B$12-$C$31)</f>
        <v>0.0688963125</v>
      </c>
    </row>
    <row r="37" customFormat="false" ht="15" hidden="false" customHeight="false" outlineLevel="0" collapsed="false">
      <c r="A37" s="5" t="s">
        <v>48</v>
      </c>
      <c r="B37" s="20" t="s">
        <v>49</v>
      </c>
      <c r="C37" s="22" t="n">
        <f aca="false">IF(OR(C36="",C35=""),"",C36-C35)</f>
        <v>0.0183181006944444</v>
      </c>
      <c r="D37" s="22" t="n">
        <f aca="false">IF(OR(D36="",D35=""),"",D36-D35)</f>
        <v>0.0189014340277778</v>
      </c>
    </row>
    <row r="38" customFormat="false" ht="15" hidden="false" customHeight="false" outlineLevel="0" collapsed="false">
      <c r="A38" s="3" t="s">
        <v>50</v>
      </c>
    </row>
    <row r="40" customFormat="false" ht="15" hidden="false" customHeight="false" outlineLevel="0" collapsed="false">
      <c r="A40" s="4" t="s">
        <v>51</v>
      </c>
      <c r="B40" s="4"/>
      <c r="C40" s="4"/>
      <c r="D40" s="4"/>
    </row>
    <row r="41" customFormat="false" ht="15" hidden="false" customHeight="false" outlineLevel="0" collapsed="false">
      <c r="A41" s="16" t="s">
        <v>52</v>
      </c>
      <c r="B41" s="24" t="s">
        <v>53</v>
      </c>
      <c r="C41" s="19" t="s">
        <v>30</v>
      </c>
      <c r="D41" s="19" t="s">
        <v>31</v>
      </c>
    </row>
    <row r="42" customFormat="false" ht="17.35" hidden="false" customHeight="false" outlineLevel="0" collapsed="false">
      <c r="A42" s="16" t="s">
        <v>54</v>
      </c>
      <c r="C42" s="25" t="str">
        <f aca="false">IF(OR($C$32="",C34=""),"",IF($C$32&lt;0.3,"S1 · Não optar",IF(C34&lt;=0,"S5 · Optar por vantagem direta",IF(C36&lt;=0,"S1 · Não optar",IF(C35&gt;C36*1.2,"S1 · Não optar",IF($B$13&lt;=1,"S2 · Preparar a próxima janela",IF(C35&gt;=C36*0.8,"S3 · Zona de fronteira — decisão do empresário","S4 · Optar, condicionado a repasse")))))))</f>
        <v>S4 · Optar, condicionado a repasse</v>
      </c>
      <c r="D42" s="25" t="str">
        <f aca="false">IF(OR($C$32="",D34=""),"",IF($C$32&lt;0.3,"S1 · Não optar",IF(D34&lt;=0,"S5 · Optar por vantagem direta",IF(D36&lt;=0,"S1 · Não optar",IF(D35&gt;D36*1.2,"S1 · Não optar",IF($B$13&lt;=1,"S2 · Preparar a próxima janela",IF(D35&gt;=D36*0.8,"S3 · Zona de fronteira — decisão do empresário","S4 · Optar, condicionado a repasse")))))))</f>
        <v>S4 · Optar, condicionado a repasse</v>
      </c>
    </row>
    <row r="44" customFormat="false" ht="15" hidden="false" customHeight="false" outlineLevel="0" collapsed="false">
      <c r="A44" s="5" t="s">
        <v>55</v>
      </c>
      <c r="B44" s="24" t="s">
        <v>56</v>
      </c>
      <c r="C44" s="26" t="n">
        <f aca="false">IF(OR(C37="",$C$32="",$B$7=""),"",C37*$C$32*$B$7)</f>
        <v>15826.839</v>
      </c>
      <c r="D44" s="26" t="n">
        <f aca="false">IF(OR(D37="",$C$32="",$B$7=""),"",D37*$C$32*$B$7)</f>
        <v>16330.839</v>
      </c>
    </row>
    <row r="45" customFormat="false" ht="15" hidden="false" customHeight="false" outlineLevel="0" collapsed="false">
      <c r="A45" s="5" t="s">
        <v>57</v>
      </c>
      <c r="B45" s="24" t="s">
        <v>58</v>
      </c>
      <c r="C45" s="26" t="n">
        <f aca="false">IF(OR(C34="",$B$7=""),"",C34*$B$7)</f>
        <v>38515.575</v>
      </c>
      <c r="D45" s="26" t="n">
        <f aca="false">IF(OR(D34="",$B$7=""),"",D34*$B$7)</f>
        <v>43195.575</v>
      </c>
    </row>
    <row r="46" customFormat="false" ht="15" hidden="false" customHeight="false" outlineLevel="0" collapsed="false">
      <c r="A46" s="3" t="s">
        <v>59</v>
      </c>
    </row>
    <row r="48" customFormat="false" ht="15" hidden="false" customHeight="false" outlineLevel="0" collapsed="false">
      <c r="A48" s="4" t="s">
        <v>60</v>
      </c>
      <c r="B48" s="4"/>
      <c r="C48" s="4"/>
      <c r="D48" s="4"/>
    </row>
    <row r="49" customFormat="false" ht="31.5" hidden="false" customHeight="true" outlineLevel="0" collapsed="false">
      <c r="A49" s="11" t="s">
        <v>61</v>
      </c>
      <c r="B49" s="11"/>
      <c r="C49" s="11"/>
      <c r="D49" s="11"/>
    </row>
    <row r="50" customFormat="false" ht="15" hidden="false" customHeight="false" outlineLevel="0" collapsed="false">
      <c r="A50" s="16" t="s">
        <v>62</v>
      </c>
      <c r="B50" s="10" t="n">
        <v>1</v>
      </c>
    </row>
    <row r="51" customFormat="false" ht="15" hidden="false" customHeight="false" outlineLevel="0" collapsed="false">
      <c r="A51" s="5" t="s">
        <v>63</v>
      </c>
      <c r="B51" s="23" t="n">
        <f aca="false">IF(OR($B$50="",$C$29=""),"",IFERROR(MAX(($B$7*VLOOKUP($B$50*10+$C$29,Anexos!$A$4:$H$33,6,FALSE())-VLOOKUP($B$50*10+$C$29,Anexos!$A$4:$H$33,7,FALSE()))/$B$7,0)*VLOOKUP($B$50*10+$C$29,Anexos!$A$4:$H$33,8,FALSE()),""))</f>
        <v>0.01367875</v>
      </c>
    </row>
    <row r="52" customFormat="false" ht="15" hidden="false" customHeight="false" outlineLevel="0" collapsed="false">
      <c r="A52" s="5" t="s">
        <v>64</v>
      </c>
      <c r="B52" s="23" t="n">
        <f aca="false">$C$31</f>
        <v>0.0251036875</v>
      </c>
    </row>
    <row r="53" customFormat="false" ht="17.35" hidden="false" customHeight="false" outlineLevel="0" collapsed="false">
      <c r="A53" s="16" t="s">
        <v>65</v>
      </c>
      <c r="B53" s="27" t="n">
        <f aca="false">IF(OR(B51="",B52="",B52=0),"",(B51-B52)/B52)</f>
        <v>-0.45510993155886</v>
      </c>
      <c r="C53" s="28" t="str">
        <f aca="false">IF(B53="","",IF(ABS(B53)&lt;0.02,"diferença pequena neste caso","a conta antiga erraria o dDAS nesta proporção"))</f>
        <v>a conta antiga erraria o dDAS nesta proporção</v>
      </c>
      <c r="D53" s="28"/>
    </row>
    <row r="54" customFormat="false" ht="15" hidden="false" customHeight="false" outlineLevel="0" collapsed="false">
      <c r="A54" s="16" t="s">
        <v>66</v>
      </c>
      <c r="B54" s="18" t="str">
        <f aca="false">IF(B51="","",IF($C$32&lt;0.3,"S1 · Não optar",IF(($B$11*(1-$B$10)-B51)&lt;=0,"S5 · Optar por vantagem direta",IF(($B$11-B51)&lt;=0,"S1 · Não optar",IF(IF($C$32=0,0,($B$11*(1-$B$10)-B51)/$C$32)&gt;($B$11-B51)*1.2,"S1 · Não optar",IF($B$13&lt;=1,"S2 · Preparar a próxima janela",IF(IF($C$32=0,0,($B$11*(1-$B$10)-B51)/$C$32)&gt;=($B$11-B51)*0.8,"S3 · Zona de fronteira — decisão do empresário","S4 · Optar, condicionado a repasse")))))))</f>
        <v>S3 · Zona de fronteira — decisão do empresário</v>
      </c>
      <c r="C54" s="18"/>
      <c r="D54" s="18"/>
    </row>
    <row r="55" customFormat="false" ht="15" hidden="false" customHeight="false" outlineLevel="0" collapsed="false">
      <c r="A55" s="16" t="s">
        <v>67</v>
      </c>
      <c r="B55" s="18" t="str">
        <f aca="false">$C$42</f>
        <v>S4 · Optar, condicionado a repasse</v>
      </c>
      <c r="C55" s="18"/>
      <c r="D55" s="18"/>
    </row>
    <row r="56" customFormat="false" ht="17.35" hidden="false" customHeight="false" outlineLevel="0" collapsed="false">
      <c r="A56" s="16" t="s">
        <v>68</v>
      </c>
      <c r="B56" s="29" t="str">
        <f aca="false">IF(OR(B54="",B55=""),"",IF(EXACT(B54,B55),"sim — neste caso o erro do dDAS não chegou a virar a decisão","NÃO — mesma empresa, resposta diferente no laudo"))</f>
        <v>NÃO — mesma empresa, resposta diferente no laudo</v>
      </c>
      <c r="C56" s="29"/>
      <c r="D56" s="29"/>
    </row>
    <row r="58" customFormat="false" ht="15" hidden="false" customHeight="false" outlineLevel="0" collapsed="false">
      <c r="A58" s="4" t="s">
        <v>69</v>
      </c>
      <c r="B58" s="4"/>
      <c r="C58" s="4"/>
      <c r="D58" s="4"/>
    </row>
    <row r="59" customFormat="false" ht="27.75" hidden="false" customHeight="true" outlineLevel="0" collapsed="false">
      <c r="A59" s="16" t="s">
        <v>70</v>
      </c>
      <c r="B59" s="30" t="s">
        <v>71</v>
      </c>
      <c r="C59" s="30"/>
      <c r="D59" s="30"/>
    </row>
    <row r="60" customFormat="false" ht="27.75" hidden="false" customHeight="true" outlineLevel="0" collapsed="false">
      <c r="A60" s="16" t="s">
        <v>72</v>
      </c>
      <c r="B60" s="30" t="s">
        <v>73</v>
      </c>
      <c r="C60" s="30"/>
      <c r="D60" s="30"/>
    </row>
    <row r="61" customFormat="false" ht="27.75" hidden="false" customHeight="true" outlineLevel="0" collapsed="false">
      <c r="A61" s="16" t="s">
        <v>74</v>
      </c>
      <c r="B61" s="30" t="s">
        <v>75</v>
      </c>
      <c r="C61" s="30"/>
      <c r="D61" s="30"/>
    </row>
    <row r="62" customFormat="false" ht="27.75" hidden="false" customHeight="true" outlineLevel="0" collapsed="false">
      <c r="A62" s="16" t="s">
        <v>76</v>
      </c>
      <c r="B62" s="30" t="s">
        <v>77</v>
      </c>
      <c r="C62" s="30"/>
      <c r="D62" s="30"/>
    </row>
    <row r="63" customFormat="false" ht="27.75" hidden="false" customHeight="true" outlineLevel="0" collapsed="false">
      <c r="A63" s="16" t="s">
        <v>78</v>
      </c>
      <c r="B63" s="30" t="s">
        <v>79</v>
      </c>
      <c r="C63" s="30"/>
      <c r="D63" s="30"/>
    </row>
    <row r="65" customFormat="false" ht="31.5" hidden="false" customHeight="true" outlineLevel="0" collapsed="false">
      <c r="A65" s="11" t="s">
        <v>80</v>
      </c>
      <c r="B65" s="11"/>
      <c r="C65" s="11"/>
      <c r="D65" s="11"/>
    </row>
  </sheetData>
  <mergeCells count="13">
    <mergeCell ref="A17:D17"/>
    <mergeCell ref="C25:D25"/>
    <mergeCell ref="A49:D49"/>
    <mergeCell ref="C53:D53"/>
    <mergeCell ref="B54:D54"/>
    <mergeCell ref="B55:D55"/>
    <mergeCell ref="B56:D56"/>
    <mergeCell ref="B59:D59"/>
    <mergeCell ref="B60:D60"/>
    <mergeCell ref="B61:D61"/>
    <mergeCell ref="B62:D62"/>
    <mergeCell ref="B63:D63"/>
    <mergeCell ref="A65:D6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9"/>
    <col collapsed="false" customWidth="true" hidden="false" outlineLevel="0" max="3" min="3" style="0" width="8"/>
    <col collapsed="false" customWidth="true" hidden="false" outlineLevel="0" max="4" min="4" style="0" width="18"/>
    <col collapsed="false" customWidth="true" hidden="false" outlineLevel="0" max="6" min="6" style="0" width="16"/>
    <col collapsed="false" customWidth="true" hidden="false" outlineLevel="0" max="7" min="7" style="0" width="20"/>
    <col collapsed="false" customWidth="true" hidden="false" outlineLevel="0" max="8" min="8" style="0" width="18"/>
    <col collapsed="false" customWidth="true" hidden="false" outlineLevel="0" max="10" min="10" style="0" width="16"/>
  </cols>
  <sheetData>
    <row r="1" customFormat="false" ht="18.55" hidden="false" customHeight="false" outlineLevel="0" collapsed="false">
      <c r="A1" s="31" t="s">
        <v>81</v>
      </c>
    </row>
    <row r="2" customFormat="false" ht="210.4" hidden="false" customHeight="false" outlineLevel="0" collapsed="false">
      <c r="A2" s="32" t="s">
        <v>82</v>
      </c>
    </row>
    <row r="3" customFormat="false" ht="23.85" hidden="false" customHeight="false" outlineLevel="0" collapsed="false">
      <c r="A3" s="33" t="s">
        <v>83</v>
      </c>
      <c r="B3" s="33" t="s">
        <v>17</v>
      </c>
      <c r="C3" s="33" t="s">
        <v>84</v>
      </c>
      <c r="D3" s="33" t="s">
        <v>85</v>
      </c>
      <c r="E3" s="33" t="s">
        <v>86</v>
      </c>
      <c r="F3" s="33" t="s">
        <v>87</v>
      </c>
      <c r="G3" s="33" t="s">
        <v>88</v>
      </c>
      <c r="H3" s="33" t="s">
        <v>89</v>
      </c>
      <c r="J3" s="13" t="s">
        <v>90</v>
      </c>
    </row>
    <row r="4" customFormat="false" ht="15" hidden="false" customHeight="false" outlineLevel="0" collapsed="false">
      <c r="A4" s="34" t="n">
        <v>11</v>
      </c>
      <c r="B4" s="34" t="n">
        <v>1</v>
      </c>
      <c r="C4" s="34" t="n">
        <v>1</v>
      </c>
      <c r="D4" s="35" t="n">
        <v>0</v>
      </c>
      <c r="E4" s="35" t="n">
        <v>180000</v>
      </c>
      <c r="F4" s="36" t="n">
        <v>0.04</v>
      </c>
      <c r="G4" s="35" t="n">
        <v>0</v>
      </c>
      <c r="H4" s="36" t="n">
        <v>0.155</v>
      </c>
      <c r="J4" s="37" t="n">
        <v>0</v>
      </c>
    </row>
    <row r="5" customFormat="false" ht="15" hidden="false" customHeight="false" outlineLevel="0" collapsed="false">
      <c r="A5" s="38" t="n">
        <v>12</v>
      </c>
      <c r="B5" s="38" t="n">
        <v>1</v>
      </c>
      <c r="C5" s="38" t="n">
        <v>2</v>
      </c>
      <c r="D5" s="37" t="n">
        <v>180000</v>
      </c>
      <c r="E5" s="37" t="n">
        <v>360000</v>
      </c>
      <c r="F5" s="39" t="n">
        <v>0.073</v>
      </c>
      <c r="G5" s="37" t="n">
        <v>5940</v>
      </c>
      <c r="H5" s="39" t="n">
        <v>0.155</v>
      </c>
      <c r="J5" s="37" t="n">
        <v>180000</v>
      </c>
    </row>
    <row r="6" customFormat="false" ht="15" hidden="false" customHeight="false" outlineLevel="0" collapsed="false">
      <c r="A6" s="38" t="n">
        <v>13</v>
      </c>
      <c r="B6" s="38" t="n">
        <v>1</v>
      </c>
      <c r="C6" s="38" t="n">
        <v>3</v>
      </c>
      <c r="D6" s="37" t="n">
        <v>360000</v>
      </c>
      <c r="E6" s="37" t="n">
        <v>720000</v>
      </c>
      <c r="F6" s="39" t="n">
        <v>0.095</v>
      </c>
      <c r="G6" s="37" t="n">
        <v>13860</v>
      </c>
      <c r="H6" s="39" t="n">
        <v>0.155</v>
      </c>
      <c r="J6" s="37" t="n">
        <v>360000</v>
      </c>
    </row>
    <row r="7" customFormat="false" ht="15" hidden="false" customHeight="false" outlineLevel="0" collapsed="false">
      <c r="A7" s="38" t="n">
        <v>14</v>
      </c>
      <c r="B7" s="38" t="n">
        <v>1</v>
      </c>
      <c r="C7" s="38" t="n">
        <v>4</v>
      </c>
      <c r="D7" s="37" t="n">
        <v>720000</v>
      </c>
      <c r="E7" s="37" t="n">
        <v>1800000</v>
      </c>
      <c r="F7" s="39" t="n">
        <v>0.107</v>
      </c>
      <c r="G7" s="37" t="n">
        <v>22500</v>
      </c>
      <c r="H7" s="39" t="n">
        <v>0.155</v>
      </c>
      <c r="J7" s="37" t="n">
        <v>720000</v>
      </c>
    </row>
    <row r="8" customFormat="false" ht="15" hidden="false" customHeight="false" outlineLevel="0" collapsed="false">
      <c r="A8" s="38" t="n">
        <v>15</v>
      </c>
      <c r="B8" s="38" t="n">
        <v>1</v>
      </c>
      <c r="C8" s="38" t="n">
        <v>5</v>
      </c>
      <c r="D8" s="37" t="n">
        <v>1800000</v>
      </c>
      <c r="E8" s="37" t="n">
        <v>3600000</v>
      </c>
      <c r="F8" s="39" t="n">
        <v>0.143</v>
      </c>
      <c r="G8" s="37" t="n">
        <v>87300</v>
      </c>
      <c r="H8" s="39" t="n">
        <v>0.155</v>
      </c>
      <c r="J8" s="37" t="n">
        <v>1800000</v>
      </c>
    </row>
    <row r="9" customFormat="false" ht="15" hidden="false" customHeight="false" outlineLevel="0" collapsed="false">
      <c r="A9" s="38" t="n">
        <v>16</v>
      </c>
      <c r="B9" s="38" t="n">
        <v>1</v>
      </c>
      <c r="C9" s="38" t="n">
        <v>6</v>
      </c>
      <c r="D9" s="37" t="n">
        <v>3600000</v>
      </c>
      <c r="E9" s="37" t="n">
        <v>4800000</v>
      </c>
      <c r="F9" s="39" t="n">
        <v>0.19</v>
      </c>
      <c r="G9" s="37" t="n">
        <v>378000</v>
      </c>
      <c r="H9" s="39" t="n">
        <v>0.344</v>
      </c>
      <c r="J9" s="37" t="n">
        <v>3600000</v>
      </c>
    </row>
    <row r="10" customFormat="false" ht="15" hidden="false" customHeight="false" outlineLevel="0" collapsed="false">
      <c r="A10" s="34" t="n">
        <v>21</v>
      </c>
      <c r="B10" s="34" t="n">
        <v>2</v>
      </c>
      <c r="C10" s="34" t="n">
        <v>1</v>
      </c>
      <c r="D10" s="35" t="n">
        <v>0</v>
      </c>
      <c r="E10" s="35" t="n">
        <v>180000</v>
      </c>
      <c r="F10" s="36" t="n">
        <v>0.045</v>
      </c>
      <c r="G10" s="35" t="n">
        <v>0</v>
      </c>
      <c r="H10" s="36" t="n">
        <v>0.14</v>
      </c>
    </row>
    <row r="11" customFormat="false" ht="15" hidden="false" customHeight="false" outlineLevel="0" collapsed="false">
      <c r="A11" s="38" t="n">
        <v>22</v>
      </c>
      <c r="B11" s="38" t="n">
        <v>2</v>
      </c>
      <c r="C11" s="38" t="n">
        <v>2</v>
      </c>
      <c r="D11" s="37" t="n">
        <v>180000</v>
      </c>
      <c r="E11" s="37" t="n">
        <v>360000</v>
      </c>
      <c r="F11" s="39" t="n">
        <v>0.078</v>
      </c>
      <c r="G11" s="37" t="n">
        <v>5940</v>
      </c>
      <c r="H11" s="39" t="n">
        <v>0.14</v>
      </c>
      <c r="J11" s="40" t="s">
        <v>91</v>
      </c>
    </row>
    <row r="12" customFormat="false" ht="15" hidden="false" customHeight="false" outlineLevel="0" collapsed="false">
      <c r="A12" s="38" t="n">
        <v>23</v>
      </c>
      <c r="B12" s="38" t="n">
        <v>2</v>
      </c>
      <c r="C12" s="38" t="n">
        <v>3</v>
      </c>
      <c r="D12" s="37" t="n">
        <v>360000</v>
      </c>
      <c r="E12" s="37" t="n">
        <v>720000</v>
      </c>
      <c r="F12" s="39" t="n">
        <v>0.1</v>
      </c>
      <c r="G12" s="37" t="n">
        <v>13860</v>
      </c>
      <c r="H12" s="39" t="n">
        <v>0.14</v>
      </c>
    </row>
    <row r="13" customFormat="false" ht="15" hidden="false" customHeight="false" outlineLevel="0" collapsed="false">
      <c r="A13" s="38" t="n">
        <v>24</v>
      </c>
      <c r="B13" s="38" t="n">
        <v>2</v>
      </c>
      <c r="C13" s="38" t="n">
        <v>4</v>
      </c>
      <c r="D13" s="37" t="n">
        <v>720000</v>
      </c>
      <c r="E13" s="37" t="n">
        <v>1800000</v>
      </c>
      <c r="F13" s="39" t="n">
        <v>0.112</v>
      </c>
      <c r="G13" s="37" t="n">
        <v>22500</v>
      </c>
      <c r="H13" s="39" t="n">
        <v>0.14</v>
      </c>
    </row>
    <row r="14" customFormat="false" ht="15" hidden="false" customHeight="false" outlineLevel="0" collapsed="false">
      <c r="A14" s="38" t="n">
        <v>25</v>
      </c>
      <c r="B14" s="38" t="n">
        <v>2</v>
      </c>
      <c r="C14" s="38" t="n">
        <v>5</v>
      </c>
      <c r="D14" s="37" t="n">
        <v>1800000</v>
      </c>
      <c r="E14" s="37" t="n">
        <v>3600000</v>
      </c>
      <c r="F14" s="39" t="n">
        <v>0.147</v>
      </c>
      <c r="G14" s="37" t="n">
        <v>85500</v>
      </c>
      <c r="H14" s="39" t="n">
        <v>0.14</v>
      </c>
    </row>
    <row r="15" customFormat="false" ht="15" hidden="false" customHeight="false" outlineLevel="0" collapsed="false">
      <c r="A15" s="38" t="n">
        <v>26</v>
      </c>
      <c r="B15" s="38" t="n">
        <v>2</v>
      </c>
      <c r="C15" s="38" t="n">
        <v>6</v>
      </c>
      <c r="D15" s="37" t="n">
        <v>3600000</v>
      </c>
      <c r="E15" s="37" t="n">
        <v>4800000</v>
      </c>
      <c r="F15" s="39" t="n">
        <v>0.3</v>
      </c>
      <c r="G15" s="37" t="n">
        <v>720000</v>
      </c>
      <c r="H15" s="39" t="n">
        <v>0.255</v>
      </c>
    </row>
    <row r="16" customFormat="false" ht="15" hidden="false" customHeight="false" outlineLevel="0" collapsed="false">
      <c r="A16" s="34" t="n">
        <v>31</v>
      </c>
      <c r="B16" s="34" t="n">
        <v>3</v>
      </c>
      <c r="C16" s="34" t="n">
        <v>1</v>
      </c>
      <c r="D16" s="35" t="n">
        <v>0</v>
      </c>
      <c r="E16" s="35" t="n">
        <v>180000</v>
      </c>
      <c r="F16" s="36" t="n">
        <v>0.06</v>
      </c>
      <c r="G16" s="35" t="n">
        <v>0</v>
      </c>
      <c r="H16" s="36" t="n">
        <v>0.156</v>
      </c>
    </row>
    <row r="17" customFormat="false" ht="15" hidden="false" customHeight="false" outlineLevel="0" collapsed="false">
      <c r="A17" s="38" t="n">
        <v>32</v>
      </c>
      <c r="B17" s="38" t="n">
        <v>3</v>
      </c>
      <c r="C17" s="38" t="n">
        <v>2</v>
      </c>
      <c r="D17" s="37" t="n">
        <v>180000</v>
      </c>
      <c r="E17" s="37" t="n">
        <v>360000</v>
      </c>
      <c r="F17" s="39" t="n">
        <v>0.112</v>
      </c>
      <c r="G17" s="37" t="n">
        <v>9360</v>
      </c>
      <c r="H17" s="39" t="n">
        <v>0.171</v>
      </c>
    </row>
    <row r="18" customFormat="false" ht="15" hidden="false" customHeight="false" outlineLevel="0" collapsed="false">
      <c r="A18" s="38" t="n">
        <v>33</v>
      </c>
      <c r="B18" s="38" t="n">
        <v>3</v>
      </c>
      <c r="C18" s="38" t="n">
        <v>3</v>
      </c>
      <c r="D18" s="37" t="n">
        <v>360000</v>
      </c>
      <c r="E18" s="37" t="n">
        <v>720000</v>
      </c>
      <c r="F18" s="39" t="n">
        <v>0.135</v>
      </c>
      <c r="G18" s="37" t="n">
        <v>17640</v>
      </c>
      <c r="H18" s="39" t="n">
        <v>0.166</v>
      </c>
    </row>
    <row r="19" customFormat="false" ht="15" hidden="false" customHeight="false" outlineLevel="0" collapsed="false">
      <c r="A19" s="38" t="n">
        <v>34</v>
      </c>
      <c r="B19" s="38" t="n">
        <v>3</v>
      </c>
      <c r="C19" s="38" t="n">
        <v>4</v>
      </c>
      <c r="D19" s="37" t="n">
        <v>720000</v>
      </c>
      <c r="E19" s="37" t="n">
        <v>1800000</v>
      </c>
      <c r="F19" s="39" t="n">
        <v>0.16</v>
      </c>
      <c r="G19" s="37" t="n">
        <v>35640</v>
      </c>
      <c r="H19" s="39" t="n">
        <v>0.166</v>
      </c>
    </row>
    <row r="20" customFormat="false" ht="15" hidden="false" customHeight="false" outlineLevel="0" collapsed="false">
      <c r="A20" s="38" t="n">
        <v>35</v>
      </c>
      <c r="B20" s="38" t="n">
        <v>3</v>
      </c>
      <c r="C20" s="38" t="n">
        <v>5</v>
      </c>
      <c r="D20" s="37" t="n">
        <v>1800000</v>
      </c>
      <c r="E20" s="37" t="n">
        <v>3600000</v>
      </c>
      <c r="F20" s="39" t="n">
        <v>0.21</v>
      </c>
      <c r="G20" s="37" t="n">
        <v>125640</v>
      </c>
      <c r="H20" s="39" t="n">
        <v>0.156</v>
      </c>
    </row>
    <row r="21" customFormat="false" ht="15" hidden="false" customHeight="false" outlineLevel="0" collapsed="false">
      <c r="A21" s="38" t="n">
        <v>36</v>
      </c>
      <c r="B21" s="38" t="n">
        <v>3</v>
      </c>
      <c r="C21" s="38" t="n">
        <v>6</v>
      </c>
      <c r="D21" s="37" t="n">
        <v>3600000</v>
      </c>
      <c r="E21" s="37" t="n">
        <v>4800000</v>
      </c>
      <c r="F21" s="39" t="n">
        <v>0.33</v>
      </c>
      <c r="G21" s="37" t="n">
        <v>648000</v>
      </c>
      <c r="H21" s="39" t="n">
        <v>0.195</v>
      </c>
    </row>
    <row r="22" customFormat="false" ht="15" hidden="false" customHeight="false" outlineLevel="0" collapsed="false">
      <c r="A22" s="34" t="n">
        <v>41</v>
      </c>
      <c r="B22" s="34" t="n">
        <v>4</v>
      </c>
      <c r="C22" s="34" t="n">
        <v>1</v>
      </c>
      <c r="D22" s="35" t="n">
        <v>0</v>
      </c>
      <c r="E22" s="35" t="n">
        <v>180000</v>
      </c>
      <c r="F22" s="36" t="n">
        <v>0.045</v>
      </c>
      <c r="G22" s="35" t="n">
        <v>0</v>
      </c>
      <c r="H22" s="36" t="n">
        <v>0.215</v>
      </c>
    </row>
    <row r="23" customFormat="false" ht="15" hidden="false" customHeight="false" outlineLevel="0" collapsed="false">
      <c r="A23" s="38" t="n">
        <v>42</v>
      </c>
      <c r="B23" s="38" t="n">
        <v>4</v>
      </c>
      <c r="C23" s="38" t="n">
        <v>2</v>
      </c>
      <c r="D23" s="37" t="n">
        <v>180000</v>
      </c>
      <c r="E23" s="37" t="n">
        <v>360000</v>
      </c>
      <c r="F23" s="39" t="n">
        <v>0.09</v>
      </c>
      <c r="G23" s="37" t="n">
        <v>8100</v>
      </c>
      <c r="H23" s="39" t="n">
        <v>0.25</v>
      </c>
    </row>
    <row r="24" customFormat="false" ht="15" hidden="false" customHeight="false" outlineLevel="0" collapsed="false">
      <c r="A24" s="38" t="n">
        <v>43</v>
      </c>
      <c r="B24" s="38" t="n">
        <v>4</v>
      </c>
      <c r="C24" s="38" t="n">
        <v>3</v>
      </c>
      <c r="D24" s="37" t="n">
        <v>360000</v>
      </c>
      <c r="E24" s="37" t="n">
        <v>720000</v>
      </c>
      <c r="F24" s="39" t="n">
        <v>0.102</v>
      </c>
      <c r="G24" s="37" t="n">
        <v>12420</v>
      </c>
      <c r="H24" s="39" t="n">
        <v>0.24</v>
      </c>
    </row>
    <row r="25" customFormat="false" ht="15" hidden="false" customHeight="false" outlineLevel="0" collapsed="false">
      <c r="A25" s="38" t="n">
        <v>44</v>
      </c>
      <c r="B25" s="38" t="n">
        <v>4</v>
      </c>
      <c r="C25" s="38" t="n">
        <v>4</v>
      </c>
      <c r="D25" s="37" t="n">
        <v>720000</v>
      </c>
      <c r="E25" s="37" t="n">
        <v>1800000</v>
      </c>
      <c r="F25" s="39" t="n">
        <v>0.14</v>
      </c>
      <c r="G25" s="37" t="n">
        <v>39780</v>
      </c>
      <c r="H25" s="39" t="n">
        <v>0.23</v>
      </c>
    </row>
    <row r="26" customFormat="false" ht="15" hidden="false" customHeight="false" outlineLevel="0" collapsed="false">
      <c r="A26" s="38" t="n">
        <v>45</v>
      </c>
      <c r="B26" s="38" t="n">
        <v>4</v>
      </c>
      <c r="C26" s="38" t="n">
        <v>5</v>
      </c>
      <c r="D26" s="37" t="n">
        <v>1800000</v>
      </c>
      <c r="E26" s="37" t="n">
        <v>3600000</v>
      </c>
      <c r="F26" s="39" t="n">
        <v>0.22</v>
      </c>
      <c r="G26" s="37" t="n">
        <v>183780</v>
      </c>
      <c r="H26" s="39" t="n">
        <v>0.22</v>
      </c>
    </row>
    <row r="27" customFormat="false" ht="15" hidden="false" customHeight="false" outlineLevel="0" collapsed="false">
      <c r="A27" s="38" t="n">
        <v>46</v>
      </c>
      <c r="B27" s="38" t="n">
        <v>4</v>
      </c>
      <c r="C27" s="38" t="n">
        <v>6</v>
      </c>
      <c r="D27" s="37" t="n">
        <v>3600000</v>
      </c>
      <c r="E27" s="37" t="n">
        <v>4800000</v>
      </c>
      <c r="F27" s="39" t="n">
        <v>0.33</v>
      </c>
      <c r="G27" s="37" t="n">
        <v>828000</v>
      </c>
      <c r="H27" s="39" t="n">
        <v>0.25</v>
      </c>
    </row>
    <row r="28" customFormat="false" ht="15" hidden="false" customHeight="false" outlineLevel="0" collapsed="false">
      <c r="A28" s="34" t="n">
        <v>51</v>
      </c>
      <c r="B28" s="34" t="n">
        <v>5</v>
      </c>
      <c r="C28" s="34" t="n">
        <v>1</v>
      </c>
      <c r="D28" s="35" t="n">
        <v>0</v>
      </c>
      <c r="E28" s="35" t="n">
        <v>180000</v>
      </c>
      <c r="F28" s="36" t="n">
        <v>0.155</v>
      </c>
      <c r="G28" s="35" t="n">
        <v>0</v>
      </c>
      <c r="H28" s="36" t="n">
        <v>0.1715</v>
      </c>
    </row>
    <row r="29" customFormat="false" ht="15" hidden="false" customHeight="false" outlineLevel="0" collapsed="false">
      <c r="A29" s="38" t="n">
        <v>52</v>
      </c>
      <c r="B29" s="38" t="n">
        <v>5</v>
      </c>
      <c r="C29" s="38" t="n">
        <v>2</v>
      </c>
      <c r="D29" s="37" t="n">
        <v>180000</v>
      </c>
      <c r="E29" s="37" t="n">
        <v>360000</v>
      </c>
      <c r="F29" s="39" t="n">
        <v>0.18</v>
      </c>
      <c r="G29" s="37" t="n">
        <v>4500</v>
      </c>
      <c r="H29" s="39" t="n">
        <v>0.1715</v>
      </c>
    </row>
    <row r="30" customFormat="false" ht="15" hidden="false" customHeight="false" outlineLevel="0" collapsed="false">
      <c r="A30" s="38" t="n">
        <v>53</v>
      </c>
      <c r="B30" s="38" t="n">
        <v>5</v>
      </c>
      <c r="C30" s="38" t="n">
        <v>3</v>
      </c>
      <c r="D30" s="37" t="n">
        <v>360000</v>
      </c>
      <c r="E30" s="37" t="n">
        <v>720000</v>
      </c>
      <c r="F30" s="39" t="n">
        <v>0.195</v>
      </c>
      <c r="G30" s="37" t="n">
        <v>9900</v>
      </c>
      <c r="H30" s="39" t="n">
        <v>0.1815</v>
      </c>
    </row>
    <row r="31" customFormat="false" ht="15" hidden="false" customHeight="false" outlineLevel="0" collapsed="false">
      <c r="A31" s="38" t="n">
        <v>54</v>
      </c>
      <c r="B31" s="38" t="n">
        <v>5</v>
      </c>
      <c r="C31" s="38" t="n">
        <v>4</v>
      </c>
      <c r="D31" s="37" t="n">
        <v>720000</v>
      </c>
      <c r="E31" s="37" t="n">
        <v>1800000</v>
      </c>
      <c r="F31" s="39" t="n">
        <v>0.205</v>
      </c>
      <c r="G31" s="37" t="n">
        <v>17100</v>
      </c>
      <c r="H31" s="39" t="n">
        <v>0.1915</v>
      </c>
    </row>
    <row r="32" customFormat="false" ht="15" hidden="false" customHeight="false" outlineLevel="0" collapsed="false">
      <c r="A32" s="38" t="n">
        <v>55</v>
      </c>
      <c r="B32" s="38" t="n">
        <v>5</v>
      </c>
      <c r="C32" s="38" t="n">
        <v>5</v>
      </c>
      <c r="D32" s="37" t="n">
        <v>1800000</v>
      </c>
      <c r="E32" s="37" t="n">
        <v>3600000</v>
      </c>
      <c r="F32" s="39" t="n">
        <v>0.23</v>
      </c>
      <c r="G32" s="37" t="n">
        <v>62100</v>
      </c>
      <c r="H32" s="39" t="n">
        <v>0.1715</v>
      </c>
    </row>
    <row r="33" customFormat="false" ht="15" hidden="false" customHeight="false" outlineLevel="0" collapsed="false">
      <c r="A33" s="38" t="n">
        <v>56</v>
      </c>
      <c r="B33" s="38" t="n">
        <v>5</v>
      </c>
      <c r="C33" s="38" t="n">
        <v>6</v>
      </c>
      <c r="D33" s="37" t="n">
        <v>3600000</v>
      </c>
      <c r="E33" s="37" t="n">
        <v>4800000</v>
      </c>
      <c r="F33" s="39" t="n">
        <v>0.305</v>
      </c>
      <c r="G33" s="37" t="n">
        <v>540000</v>
      </c>
      <c r="H33" s="39" t="n">
        <v>0.2</v>
      </c>
    </row>
    <row r="36" customFormat="false" ht="168.65" hidden="false" customHeight="false" outlineLevel="0" collapsed="false">
      <c r="A36" s="32" t="s">
        <v>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2026-08-02T14:02:06Z</dcterms:created>
  <dc:creator>openpyxl</dc:creator>
  <dc:description/>
  <dc:language>en-US</dc:language>
  <cp:lastModifiedBy/>
  <dcterms:modified xsi:type="dcterms:W3CDTF">2026-08-02T14:02:06Z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